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1"/>
  </bookViews>
  <sheets>
    <sheet name="REMOUS" sheetId="1" r:id="rId1"/>
    <sheet name="Feuil1" sheetId="2" r:id="rId2"/>
    <sheet name="Feuil2" sheetId="3" r:id="rId3"/>
    <sheet name="Feuil3" sheetId="4" r:id="rId4"/>
  </sheets>
  <definedNames>
    <definedName name="ALPHA">'Feuil1'!$A$4</definedName>
    <definedName name="BBB">'Feuil1'!$C$58</definedName>
    <definedName name="CCCH">'Feuil1'!$B$58</definedName>
    <definedName name="DDD1">'Feuil1'!$D$2</definedName>
    <definedName name="DDD2">'Feuil1'!$E$2</definedName>
    <definedName name="DDD3">'Feuil1'!$F$2</definedName>
    <definedName name="etap">'Feuil1'!$I$22</definedName>
    <definedName name="etaturb">'Feuil1'!$D$22</definedName>
    <definedName name="Fr">'Feuil1'!$G$58</definedName>
    <definedName name="Fr2_">'Feuil1'!$F$58</definedName>
    <definedName name="GGG">'Feuil1'!$H$2</definedName>
    <definedName name="HHH0">'Feuil1'!$A$62</definedName>
    <definedName name="HHHc">'Feuil1'!$E$58</definedName>
    <definedName name="HHHn">'Feuil1'!$D$58</definedName>
    <definedName name="HMP">'Feuil1'!$I$19</definedName>
    <definedName name="HmT">'Feuil1'!$D$20</definedName>
    <definedName name="Hn_I">'Feuil1'!$C$62</definedName>
    <definedName name="III">'Feuil1'!$A$58</definedName>
    <definedName name="KKK1">'Feuil1'!$A$10</definedName>
    <definedName name="KKK2">'Feuil1'!$B$10</definedName>
    <definedName name="KKK3">'Feuil1'!$C$10</definedName>
    <definedName name="LAMDA">'Feuil1'!$G$2</definedName>
    <definedName name="LLL1">'Feuil1'!$A$2</definedName>
    <definedName name="LLL2">'Feuil1'!$B$2</definedName>
    <definedName name="LLL3">'Feuil1'!$C$2</definedName>
    <definedName name="PHI_u0">'Feuil1'!$F$62</definedName>
    <definedName name="qqq">'Feuil1'!$H$58</definedName>
    <definedName name="QQQ1">'Feuil1'!$D$18</definedName>
    <definedName name="QQQ3i">'Feuil1'!$D$16</definedName>
    <definedName name="QQQP">'Feuil1'!$I$16</definedName>
    <definedName name="RRO">'Feuil1'!$I$2</definedName>
    <definedName name="SSS1">'Feuil1'!$D$4</definedName>
    <definedName name="SSS2">'Feuil1'!$E$4</definedName>
    <definedName name="SSS3">'Feuil1'!$F$4</definedName>
    <definedName name="uuu0">'Feuil1'!$B$62</definedName>
    <definedName name="uuuC">'Feuil1'!$D$62</definedName>
    <definedName name="VVV1">'Feuil1'!$D$10</definedName>
    <definedName name="VVV2">'Feuil1'!$E$10</definedName>
    <definedName name="VVV3">'Feuil1'!$F$10</definedName>
    <definedName name="Witurb">'Feuil1'!$D$25</definedName>
    <definedName name="Wp">'Feuil1'!$I$25</definedName>
    <definedName name="Wturb">'Feuil1'!$D$29</definedName>
    <definedName name="xxx0">'Feuil1'!$E$62</definedName>
    <definedName name="ZZZA">'Feuil1'!$A$7</definedName>
    <definedName name="ZZZB">'Feuil1'!$B$7</definedName>
    <definedName name="ZZZC">'Feuil1'!$C$7</definedName>
    <definedName name="ZZZD">'Feuil1'!$D$7</definedName>
    <definedName name="ZZZE">'Feuil1'!$E$7</definedName>
    <definedName name="ZZZF">'Feuil1'!$F$7</definedName>
  </definedNames>
  <calcPr fullCalcOnLoad="1"/>
</workbook>
</file>

<file path=xl/sharedStrings.xml><?xml version="1.0" encoding="utf-8"?>
<sst xmlns="http://schemas.openxmlformats.org/spreadsheetml/2006/main" count="68" uniqueCount="64">
  <si>
    <t xml:space="preserve"> LLL1</t>
  </si>
  <si>
    <t xml:space="preserve"> LLL2</t>
  </si>
  <si>
    <t xml:space="preserve"> LLL3</t>
  </si>
  <si>
    <t>DDD1</t>
  </si>
  <si>
    <t>DDD2</t>
  </si>
  <si>
    <t>DDD3</t>
  </si>
  <si>
    <t>ZZZA</t>
  </si>
  <si>
    <t>ZZZB</t>
  </si>
  <si>
    <t>ZZZC</t>
  </si>
  <si>
    <t>ZZZD</t>
  </si>
  <si>
    <t>ZZZE</t>
  </si>
  <si>
    <t>ZZZF</t>
  </si>
  <si>
    <t>LAMDA</t>
  </si>
  <si>
    <t>GGG</t>
  </si>
  <si>
    <t>RRO</t>
  </si>
  <si>
    <t>KKK1</t>
  </si>
  <si>
    <t>KKK2</t>
  </si>
  <si>
    <t>KKK3</t>
  </si>
  <si>
    <t>SSS1</t>
  </si>
  <si>
    <t>SSS2</t>
  </si>
  <si>
    <t>SSS3</t>
  </si>
  <si>
    <t>ALPHA</t>
  </si>
  <si>
    <t>HBE</t>
  </si>
  <si>
    <t>QQQ</t>
  </si>
  <si>
    <t>QQQ3i</t>
  </si>
  <si>
    <t>QQQ1</t>
  </si>
  <si>
    <t>HmT</t>
  </si>
  <si>
    <t>KW</t>
  </si>
  <si>
    <t>VVV1</t>
  </si>
  <si>
    <t>VVV2</t>
  </si>
  <si>
    <t>VVV3</t>
  </si>
  <si>
    <t>etaturb</t>
  </si>
  <si>
    <t>Wturb</t>
  </si>
  <si>
    <t>Witurb</t>
  </si>
  <si>
    <t>POMPAGE</t>
  </si>
  <si>
    <t>TURBINE</t>
  </si>
  <si>
    <t>HAF</t>
  </si>
  <si>
    <t>QQQP</t>
  </si>
  <si>
    <t>HMP</t>
  </si>
  <si>
    <t>Wp</t>
  </si>
  <si>
    <t>etap</t>
  </si>
  <si>
    <t>ENERGIE</t>
  </si>
  <si>
    <t>KWH</t>
  </si>
  <si>
    <t>BENEF</t>
  </si>
  <si>
    <t>COUT</t>
  </si>
  <si>
    <t>III</t>
  </si>
  <si>
    <t>CCCH</t>
  </si>
  <si>
    <t>HHHn</t>
  </si>
  <si>
    <t>HHHc</t>
  </si>
  <si>
    <t>Fr2</t>
  </si>
  <si>
    <t>Fr</t>
  </si>
  <si>
    <t>qqq</t>
  </si>
  <si>
    <t>BBB</t>
  </si>
  <si>
    <t>HHH0</t>
  </si>
  <si>
    <t>uuu0</t>
  </si>
  <si>
    <t>Hn/I</t>
  </si>
  <si>
    <t>uuuC</t>
  </si>
  <si>
    <t>xxx0</t>
  </si>
  <si>
    <t>x</t>
  </si>
  <si>
    <t>H</t>
  </si>
  <si>
    <t>u</t>
  </si>
  <si>
    <t>PHI(u)</t>
  </si>
  <si>
    <t>PHI(u0)</t>
  </si>
  <si>
    <t>CANAL D AMENE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</si>
</sst>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71" fontId="0" fillId="2" borderId="7" xfId="0" applyNumberFormat="1" applyFill="1" applyBorder="1" applyAlignment="1">
      <alignment horizontal="center"/>
    </xf>
    <xf numFmtId="171" fontId="0" fillId="2" borderId="8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Feuil1!$B$65</c:f>
              <c:strCache>
                <c:ptCount val="1"/>
                <c:pt idx="0">
                  <c:v>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Feuil1!$A$66:$A$72</c:f>
              <c:numCache>
                <c:ptCount val="7"/>
                <c:pt idx="0">
                  <c:v>5516.297144129943</c:v>
                </c:pt>
                <c:pt idx="1">
                  <c:v>4962.674264252185</c:v>
                </c:pt>
                <c:pt idx="2">
                  <c:v>4268.144346400829</c:v>
                </c:pt>
                <c:pt idx="3">
                  <c:v>3497.3354004789</c:v>
                </c:pt>
                <c:pt idx="4">
                  <c:v>3009.717029903367</c:v>
                </c:pt>
                <c:pt idx="5">
                  <c:v>2556.2481110145186</c:v>
                </c:pt>
                <c:pt idx="6">
                  <c:v>1924.3918258631888</c:v>
                </c:pt>
              </c:numCache>
            </c:numRef>
          </c:xVal>
          <c:yVal>
            <c:numRef>
              <c:f>Feuil1!$B$66:$B$72</c:f>
              <c:numCache>
                <c:ptCount val="7"/>
                <c:pt idx="0">
                  <c:v>3</c:v>
                </c:pt>
                <c:pt idx="1">
                  <c:v>2.574708929883897</c:v>
                </c:pt>
                <c:pt idx="2">
                  <c:v>2.0597671439071177</c:v>
                </c:pt>
                <c:pt idx="3">
                  <c:v>1.5448253579303381</c:v>
                </c:pt>
                <c:pt idx="4">
                  <c:v>1.2873544649419486</c:v>
                </c:pt>
                <c:pt idx="5">
                  <c:v>1.1328719291489149</c:v>
                </c:pt>
                <c:pt idx="6">
                  <c:v>1.05048124339263</c:v>
                </c:pt>
              </c:numCache>
            </c:numRef>
          </c:yVal>
          <c:smooth val="1"/>
        </c:ser>
        <c:axId val="60296838"/>
        <c:axId val="5800631"/>
      </c:scatterChart>
      <c:valAx>
        <c:axId val="60296838"/>
        <c:scaling>
          <c:orientation val="minMax"/>
          <c:max val="50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0631"/>
        <c:crosses val="autoZero"/>
        <c:crossBetween val="midCat"/>
        <c:dispUnits/>
      </c:valAx>
      <c:valAx>
        <c:axId val="580063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96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7">
      <selection activeCell="I25" sqref="I25"/>
    </sheetView>
  </sheetViews>
  <sheetFormatPr defaultColWidth="11.421875" defaultRowHeight="12.75"/>
  <cols>
    <col min="1" max="1" width="15.28125" style="1" bestFit="1" customWidth="1"/>
    <col min="2" max="2" width="6.140625" style="1" bestFit="1" customWidth="1"/>
    <col min="3" max="3" width="5.8515625" style="1" bestFit="1" customWidth="1"/>
    <col min="4" max="4" width="11.7109375" style="1" bestFit="1" customWidth="1"/>
    <col min="5" max="5" width="5.8515625" style="1" bestFit="1" customWidth="1"/>
    <col min="6" max="6" width="10.57421875" style="1" bestFit="1" customWidth="1"/>
    <col min="7" max="7" width="7.421875" style="1" bestFit="1" customWidth="1"/>
    <col min="8" max="8" width="5.28125" style="1" bestFit="1" customWidth="1"/>
    <col min="9" max="9" width="11.7109375" style="1" bestFit="1" customWidth="1"/>
    <col min="10" max="10" width="8.28125" style="1" bestFit="1" customWidth="1"/>
    <col min="11" max="16384" width="11.421875" style="1" customWidth="1"/>
  </cols>
  <sheetData>
    <row r="1" spans="1:9" ht="12.7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12</v>
      </c>
      <c r="H1" s="10" t="s">
        <v>13</v>
      </c>
      <c r="I1" s="11" t="s">
        <v>14</v>
      </c>
    </row>
    <row r="2" spans="1:9" ht="13.5" thickBot="1">
      <c r="A2" s="12">
        <v>1400</v>
      </c>
      <c r="B2" s="13">
        <v>1200</v>
      </c>
      <c r="C2" s="13">
        <v>2500</v>
      </c>
      <c r="D2" s="13">
        <v>1.5</v>
      </c>
      <c r="E2" s="13">
        <v>1</v>
      </c>
      <c r="F2" s="13">
        <v>1</v>
      </c>
      <c r="G2" s="13">
        <v>0.016</v>
      </c>
      <c r="H2" s="13">
        <v>9.81</v>
      </c>
      <c r="I2" s="14">
        <v>1000</v>
      </c>
    </row>
    <row r="3" spans="1:6" ht="12.75">
      <c r="A3" s="18" t="s">
        <v>21</v>
      </c>
      <c r="D3" s="9" t="s">
        <v>18</v>
      </c>
      <c r="E3" s="10" t="s">
        <v>19</v>
      </c>
      <c r="F3" s="11" t="s">
        <v>20</v>
      </c>
    </row>
    <row r="4" spans="1:6" ht="13.5" thickBot="1">
      <c r="A4" s="19">
        <v>1.07</v>
      </c>
      <c r="D4" s="15">
        <f>PI()*DDD1^2/4</f>
        <v>1.7671458676442586</v>
      </c>
      <c r="E4" s="16">
        <f>PI()*DDD2^2/4</f>
        <v>0.7853981633974483</v>
      </c>
      <c r="F4" s="17">
        <f>PI()*DDD3^2/4</f>
        <v>0.7853981633974483</v>
      </c>
    </row>
    <row r="5" ht="13.5" thickBot="1"/>
    <row r="6" spans="1:6" ht="12.75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1" t="s">
        <v>11</v>
      </c>
    </row>
    <row r="7" spans="1:6" ht="13.5" thickBot="1">
      <c r="A7" s="12">
        <v>1712</v>
      </c>
      <c r="B7" s="13">
        <v>1690</v>
      </c>
      <c r="C7" s="13">
        <v>1400</v>
      </c>
      <c r="D7" s="13">
        <v>982</v>
      </c>
      <c r="E7" s="13">
        <v>978</v>
      </c>
      <c r="F7" s="14">
        <v>1918</v>
      </c>
    </row>
    <row r="8" ht="13.5" thickBot="1"/>
    <row r="9" spans="1:6" ht="12.75">
      <c r="A9" s="43" t="s">
        <v>15</v>
      </c>
      <c r="B9" s="44" t="s">
        <v>16</v>
      </c>
      <c r="C9" s="44" t="s">
        <v>17</v>
      </c>
      <c r="D9" s="10" t="s">
        <v>28</v>
      </c>
      <c r="E9" s="10" t="s">
        <v>29</v>
      </c>
      <c r="F9" s="11" t="s">
        <v>30</v>
      </c>
    </row>
    <row r="10" spans="1:6" ht="13.5" thickBot="1">
      <c r="A10" s="45">
        <f>LAMDA*LLL1/DDD1/2/GGG/SSS1^2*ALPHA</f>
        <v>0.2607934832442436</v>
      </c>
      <c r="B10" s="46">
        <f>LAMDA*LLL2/DDD2/2/GGG/SSS2^2*ALPHA</f>
        <v>1.6974861543308357</v>
      </c>
      <c r="C10" s="46">
        <f>LAMDA*LLL3/DDD3/2/GGG/SSS3^2*ALPHA</f>
        <v>3.536429488189241</v>
      </c>
      <c r="D10" s="20">
        <f>D18/SSS1</f>
        <v>13.354868113666596</v>
      </c>
      <c r="E10" s="20">
        <f>SSS2</f>
        <v>0.7853981633974483</v>
      </c>
      <c r="F10" s="21">
        <f>D16/SSS3</f>
        <v>7.51211331393746</v>
      </c>
    </row>
    <row r="11" spans="1:6" ht="13.5" thickBot="1">
      <c r="A11" s="3"/>
      <c r="B11" s="3"/>
      <c r="C11" s="3"/>
      <c r="D11" s="2"/>
      <c r="F11" s="2"/>
    </row>
    <row r="12" spans="1:7" ht="12.75">
      <c r="A12" s="22" t="s">
        <v>35</v>
      </c>
      <c r="B12" s="23"/>
      <c r="C12" s="32"/>
      <c r="D12" s="33"/>
      <c r="E12" s="11"/>
      <c r="F12" s="10" t="s">
        <v>34</v>
      </c>
      <c r="G12" s="11"/>
    </row>
    <row r="13" spans="1:7" ht="12.75">
      <c r="A13" s="24"/>
      <c r="B13" s="25"/>
      <c r="C13" s="31"/>
      <c r="D13" s="31"/>
      <c r="E13" s="25"/>
      <c r="F13" s="31"/>
      <c r="G13" s="25"/>
    </row>
    <row r="14" spans="1:7" ht="13.5" thickBot="1">
      <c r="A14" s="24" t="s">
        <v>23</v>
      </c>
      <c r="B14" s="25" t="s">
        <v>22</v>
      </c>
      <c r="C14" s="31"/>
      <c r="D14" s="31"/>
      <c r="E14" s="25"/>
      <c r="F14" s="31" t="s">
        <v>23</v>
      </c>
      <c r="G14" s="25" t="s">
        <v>36</v>
      </c>
    </row>
    <row r="15" spans="1:9" ht="12.75">
      <c r="A15" s="24">
        <v>0</v>
      </c>
      <c r="B15" s="26">
        <f>(ZZZB-ZZZE)-(16*KKK1+KKK3)*A15^2</f>
        <v>712</v>
      </c>
      <c r="C15" s="31"/>
      <c r="D15" s="49" t="s">
        <v>24</v>
      </c>
      <c r="E15" s="25"/>
      <c r="F15" s="31">
        <v>0</v>
      </c>
      <c r="G15" s="25">
        <f aca="true" t="shared" si="0" ref="G15:G45">(ZZZF-ZZZB)+(KKK1+KKK2)*F15^2</f>
        <v>228</v>
      </c>
      <c r="I15" s="18" t="s">
        <v>37</v>
      </c>
    </row>
    <row r="16" spans="1:9" ht="12.75">
      <c r="A16" s="24">
        <f>A15+0.25</f>
        <v>0.25</v>
      </c>
      <c r="B16" s="26">
        <f>(ZZZB-ZZZE)-(16*KKK1+KKK3)*A16^2</f>
        <v>711.5181796737439</v>
      </c>
      <c r="C16" s="31"/>
      <c r="D16" s="50">
        <v>5.9</v>
      </c>
      <c r="E16" s="25"/>
      <c r="F16" s="31">
        <f>F15+0.1</f>
        <v>0.1</v>
      </c>
      <c r="G16" s="26">
        <f t="shared" si="0"/>
        <v>228.01958279637574</v>
      </c>
      <c r="I16" s="28">
        <v>1.9</v>
      </c>
    </row>
    <row r="17" spans="1:9" ht="12.75">
      <c r="A17" s="24">
        <f aca="true" t="shared" si="1" ref="A17:A52">A16+0.25</f>
        <v>0.5</v>
      </c>
      <c r="B17" s="26">
        <f>(ZZZB-ZZZE)-(16*KKK1+KKK3)*A17^2</f>
        <v>710.0727186949757</v>
      </c>
      <c r="C17" s="31"/>
      <c r="D17" s="50" t="s">
        <v>25</v>
      </c>
      <c r="E17" s="25"/>
      <c r="F17" s="31">
        <f aca="true" t="shared" si="2" ref="F17:F45">F16+0.1</f>
        <v>0.2</v>
      </c>
      <c r="G17" s="26">
        <f t="shared" si="0"/>
        <v>228.078331185503</v>
      </c>
      <c r="I17" s="28"/>
    </row>
    <row r="18" spans="1:9" ht="12.75">
      <c r="A18" s="24">
        <f t="shared" si="1"/>
        <v>0.75</v>
      </c>
      <c r="B18" s="26">
        <f>(ZZZB-ZZZE)-(16*KKK1+KKK3)*A18^2</f>
        <v>707.6636170636954</v>
      </c>
      <c r="C18" s="31"/>
      <c r="D18" s="50">
        <f>QQQ3i*4</f>
        <v>23.6</v>
      </c>
      <c r="E18" s="25"/>
      <c r="F18" s="31">
        <f t="shared" si="2"/>
        <v>0.30000000000000004</v>
      </c>
      <c r="G18" s="26">
        <f t="shared" si="0"/>
        <v>228.17624516738175</v>
      </c>
      <c r="I18" s="28" t="s">
        <v>38</v>
      </c>
    </row>
    <row r="19" spans="1:9" ht="12.75">
      <c r="A19" s="24">
        <f t="shared" si="1"/>
        <v>1</v>
      </c>
      <c r="B19" s="26">
        <f>(ZZZB-ZZZE)-(16*KKK1+KKK3)*A19^2</f>
        <v>704.2908747799029</v>
      </c>
      <c r="C19" s="31"/>
      <c r="D19" s="50" t="s">
        <v>26</v>
      </c>
      <c r="E19" s="25"/>
      <c r="F19" s="31">
        <f t="shared" si="2"/>
        <v>0.4</v>
      </c>
      <c r="G19" s="26">
        <f t="shared" si="0"/>
        <v>228.31332474201201</v>
      </c>
      <c r="I19" s="28">
        <v>235</v>
      </c>
    </row>
    <row r="20" spans="1:9" ht="12.75">
      <c r="A20" s="24">
        <f t="shared" si="1"/>
        <v>1.25</v>
      </c>
      <c r="B20" s="26">
        <f>(ZZZB-ZZZE)-(16*KKK1+KKK3)*A20^2</f>
        <v>699.9544918435982</v>
      </c>
      <c r="C20" s="31"/>
      <c r="D20" s="51">
        <v>444</v>
      </c>
      <c r="E20" s="25"/>
      <c r="F20" s="31">
        <f t="shared" si="2"/>
        <v>0.5</v>
      </c>
      <c r="G20" s="26">
        <f t="shared" si="0"/>
        <v>228.48956990939377</v>
      </c>
      <c r="I20" s="28"/>
    </row>
    <row r="21" spans="1:9" ht="12.75">
      <c r="A21" s="24">
        <f t="shared" si="1"/>
        <v>1.5</v>
      </c>
      <c r="B21" s="26">
        <f>(ZZZB-ZZZE)-(16*KKK1+KKK3)*A21^2</f>
        <v>694.6544682547815</v>
      </c>
      <c r="C21" s="31"/>
      <c r="D21" s="50" t="s">
        <v>31</v>
      </c>
      <c r="E21" s="25"/>
      <c r="F21" s="31">
        <f t="shared" si="2"/>
        <v>0.6</v>
      </c>
      <c r="G21" s="26">
        <f t="shared" si="0"/>
        <v>228.70498066952703</v>
      </c>
      <c r="I21" s="28" t="s">
        <v>40</v>
      </c>
    </row>
    <row r="22" spans="1:9" ht="12.75">
      <c r="A22" s="24">
        <f t="shared" si="1"/>
        <v>1.75</v>
      </c>
      <c r="B22" s="26">
        <f>(ZZZB-ZZZE)-(16*KKK1+KKK3)*A22^2</f>
        <v>688.3908040134526</v>
      </c>
      <c r="C22" s="31"/>
      <c r="D22" s="50">
        <v>0.78</v>
      </c>
      <c r="E22" s="25"/>
      <c r="F22" s="31">
        <f t="shared" si="2"/>
        <v>0.7</v>
      </c>
      <c r="G22" s="26">
        <f t="shared" si="0"/>
        <v>228.9595570224118</v>
      </c>
      <c r="I22" s="28">
        <v>0.76</v>
      </c>
    </row>
    <row r="23" spans="1:9" ht="12.75">
      <c r="A23" s="24">
        <f t="shared" si="1"/>
        <v>2</v>
      </c>
      <c r="B23" s="26">
        <f>(ZZZB-ZZZE)-(16*KKK1+KKK3)*A23^2</f>
        <v>681.1634991196114</v>
      </c>
      <c r="C23" s="31"/>
      <c r="D23" s="50" t="s">
        <v>27</v>
      </c>
      <c r="E23" s="25"/>
      <c r="F23" s="31">
        <f t="shared" si="2"/>
        <v>0.7999999999999999</v>
      </c>
      <c r="G23" s="26">
        <f t="shared" si="0"/>
        <v>229.25329896804806</v>
      </c>
      <c r="I23" s="28"/>
    </row>
    <row r="24" spans="1:9" ht="12.75">
      <c r="A24" s="24">
        <f t="shared" si="1"/>
        <v>2.25</v>
      </c>
      <c r="B24" s="26">
        <f>(ZZZB-ZZZE)-(16*KKK1+KKK3)*A24^2</f>
        <v>672.9725535732582</v>
      </c>
      <c r="C24" s="31"/>
      <c r="D24" s="50" t="s">
        <v>33</v>
      </c>
      <c r="E24" s="25"/>
      <c r="F24" s="31">
        <f t="shared" si="2"/>
        <v>0.8999999999999999</v>
      </c>
      <c r="G24" s="26">
        <f t="shared" si="0"/>
        <v>229.58620650643581</v>
      </c>
      <c r="I24" s="29" t="s">
        <v>39</v>
      </c>
    </row>
    <row r="25" spans="1:9" ht="16.5" thickBot="1">
      <c r="A25" s="24">
        <f t="shared" si="1"/>
        <v>2.5</v>
      </c>
      <c r="B25" s="26">
        <f>(ZZZB-ZZZE)-(16*KKK1+KKK3)*A25^2</f>
        <v>663.8179673743929</v>
      </c>
      <c r="C25" s="31"/>
      <c r="D25" s="52">
        <f>GGG*QQQ3i*HmT*etaturb</f>
        <v>20044.655280000003</v>
      </c>
      <c r="E25" s="25"/>
      <c r="F25" s="31">
        <f t="shared" si="2"/>
        <v>0.9999999999999999</v>
      </c>
      <c r="G25" s="26">
        <f t="shared" si="0"/>
        <v>229.9582796375751</v>
      </c>
      <c r="I25" s="30">
        <f>GGG*QQQP*HMP/etap</f>
        <v>5763.375</v>
      </c>
    </row>
    <row r="26" spans="1:7" ht="13.5" thickBot="1">
      <c r="A26" s="24">
        <f t="shared" si="1"/>
        <v>2.75</v>
      </c>
      <c r="B26" s="26">
        <f>(ZZZB-ZZZE)-(16*KKK1+KKK3)*A26^2</f>
        <v>653.6997405230154</v>
      </c>
      <c r="C26" s="31"/>
      <c r="D26" s="31"/>
      <c r="E26" s="25"/>
      <c r="F26" s="31">
        <f t="shared" si="2"/>
        <v>1.0999999999999999</v>
      </c>
      <c r="G26" s="26">
        <f t="shared" si="0"/>
        <v>230.36951836146585</v>
      </c>
    </row>
    <row r="27" spans="1:9" ht="15.75">
      <c r="A27" s="24">
        <f t="shared" si="1"/>
        <v>3</v>
      </c>
      <c r="B27" s="26">
        <f>(ZZZB-ZZZE)-(16*KKK1+KKK3)*A27^2</f>
        <v>642.6178730191258</v>
      </c>
      <c r="C27" s="31"/>
      <c r="D27" s="31" t="s">
        <v>27</v>
      </c>
      <c r="E27" s="25"/>
      <c r="F27" s="31">
        <f t="shared" si="2"/>
        <v>1.2</v>
      </c>
      <c r="G27" s="26">
        <f t="shared" si="0"/>
        <v>230.81992267810813</v>
      </c>
      <c r="I27" s="4" t="s">
        <v>41</v>
      </c>
    </row>
    <row r="28" spans="1:9" ht="16.5" thickBot="1">
      <c r="A28" s="24">
        <f t="shared" si="1"/>
        <v>3.25</v>
      </c>
      <c r="B28" s="26">
        <f>(ZZZB-ZZZE)-(16*KKK1+KKK3)*A28^2</f>
        <v>630.5723648627239</v>
      </c>
      <c r="C28" s="31"/>
      <c r="D28" s="34" t="s">
        <v>32</v>
      </c>
      <c r="E28" s="25"/>
      <c r="F28" s="31">
        <f t="shared" si="2"/>
        <v>1.3</v>
      </c>
      <c r="G28" s="26">
        <f t="shared" si="0"/>
        <v>231.3094925875019</v>
      </c>
      <c r="I28" s="6">
        <f>Wp*12</f>
        <v>69160.5</v>
      </c>
    </row>
    <row r="29" spans="1:9" ht="15.75">
      <c r="A29" s="24">
        <f t="shared" si="1"/>
        <v>3.5</v>
      </c>
      <c r="B29" s="26">
        <f>(ZZZB-ZZZE)-(16*KKK1+KKK3)*A29^2</f>
        <v>617.56321605381</v>
      </c>
      <c r="C29" s="31"/>
      <c r="D29" s="35">
        <f>4*D25</f>
        <v>80178.62112000001</v>
      </c>
      <c r="E29" s="25"/>
      <c r="F29" s="31">
        <f t="shared" si="2"/>
        <v>1.4000000000000001</v>
      </c>
      <c r="G29" s="26">
        <f t="shared" si="0"/>
        <v>231.83822808964715</v>
      </c>
      <c r="I29" s="5" t="s">
        <v>42</v>
      </c>
    </row>
    <row r="30" spans="1:7" ht="13.5" thickBot="1">
      <c r="A30" s="24">
        <f t="shared" si="1"/>
        <v>3.75</v>
      </c>
      <c r="B30" s="26">
        <f>(ZZZB-ZZZE)-(16*KKK1+KKK3)*A30^2</f>
        <v>603.590426592384</v>
      </c>
      <c r="C30" s="31"/>
      <c r="D30" s="31"/>
      <c r="E30" s="25"/>
      <c r="F30" s="31">
        <f t="shared" si="2"/>
        <v>1.5000000000000002</v>
      </c>
      <c r="G30" s="26">
        <f t="shared" si="0"/>
        <v>232.40612918454394</v>
      </c>
    </row>
    <row r="31" spans="1:7" ht="16.5" thickBot="1">
      <c r="A31" s="24">
        <f t="shared" si="1"/>
        <v>4</v>
      </c>
      <c r="B31" s="26">
        <f>(ZZZB-ZZZE)-(16*KKK1+KKK3)*A31^2</f>
        <v>588.6539964784458</v>
      </c>
      <c r="C31" s="31"/>
      <c r="D31" s="4" t="s">
        <v>41</v>
      </c>
      <c r="E31" s="25"/>
      <c r="F31" s="31">
        <f t="shared" si="2"/>
        <v>1.6000000000000003</v>
      </c>
      <c r="G31" s="26">
        <f t="shared" si="0"/>
        <v>233.0131958721922</v>
      </c>
    </row>
    <row r="32" spans="1:9" ht="16.5" thickBot="1">
      <c r="A32" s="24">
        <f t="shared" si="1"/>
        <v>4.25</v>
      </c>
      <c r="B32" s="26">
        <f>(ZZZB-ZZZE)-(16*KKK1+KKK3)*A32^2</f>
        <v>572.7539257119954</v>
      </c>
      <c r="C32" s="31"/>
      <c r="D32" s="5" t="s">
        <v>42</v>
      </c>
      <c r="E32" s="25"/>
      <c r="F32" s="31">
        <f t="shared" si="2"/>
        <v>1.7000000000000004</v>
      </c>
      <c r="G32" s="26">
        <f t="shared" si="0"/>
        <v>233.65942815259197</v>
      </c>
      <c r="I32" s="7" t="s">
        <v>44</v>
      </c>
    </row>
    <row r="33" spans="1:9" ht="16.5" thickBot="1">
      <c r="A33" s="24">
        <f t="shared" si="1"/>
        <v>4.5</v>
      </c>
      <c r="B33" s="26">
        <f>(ZZZB-ZZZE)-(16*KKK1+KKK3)*A33^2</f>
        <v>555.890214293033</v>
      </c>
      <c r="C33" s="31"/>
      <c r="D33" s="6">
        <f>Wturb*4*0.85</f>
        <v>272607.311808</v>
      </c>
      <c r="E33" s="25"/>
      <c r="F33" s="31">
        <f t="shared" si="2"/>
        <v>1.8000000000000005</v>
      </c>
      <c r="G33" s="26">
        <f t="shared" si="0"/>
        <v>234.34482602574326</v>
      </c>
      <c r="I33" s="8">
        <f>I28*0.05</f>
        <v>3458.025</v>
      </c>
    </row>
    <row r="34" spans="1:7" ht="13.5" thickBot="1">
      <c r="A34" s="24">
        <f t="shared" si="1"/>
        <v>4.75</v>
      </c>
      <c r="B34" s="26">
        <f>(ZZZB-ZZZE)-(16*KKK1+KKK3)*A34^2</f>
        <v>538.0628622215584</v>
      </c>
      <c r="C34" s="31"/>
      <c r="D34" s="31"/>
      <c r="E34" s="25"/>
      <c r="F34" s="31">
        <f t="shared" si="2"/>
        <v>1.9000000000000006</v>
      </c>
      <c r="G34" s="26">
        <f t="shared" si="0"/>
        <v>235.06938949164604</v>
      </c>
    </row>
    <row r="35" spans="1:7" ht="16.5" thickBot="1">
      <c r="A35" s="24">
        <f t="shared" si="1"/>
        <v>5</v>
      </c>
      <c r="B35" s="26">
        <f>(ZZZB-ZZZE)-(16*KKK1+KKK3)*A35^2</f>
        <v>519.2718694975715</v>
      </c>
      <c r="C35" s="31"/>
      <c r="D35" s="7" t="s">
        <v>43</v>
      </c>
      <c r="E35" s="25"/>
      <c r="F35" s="31">
        <f t="shared" si="2"/>
        <v>2.0000000000000004</v>
      </c>
      <c r="G35" s="26">
        <f t="shared" si="0"/>
        <v>235.83311855030033</v>
      </c>
    </row>
    <row r="36" spans="1:7" ht="16.5" thickBot="1">
      <c r="A36" s="24">
        <f t="shared" si="1"/>
        <v>5.25</v>
      </c>
      <c r="B36" s="26">
        <f>(ZZZB-ZZZE)-(16*KKK1+KKK3)*A36^2</f>
        <v>499.51723612107264</v>
      </c>
      <c r="C36" s="31"/>
      <c r="D36" s="8">
        <f>D33*0.15</f>
        <v>40891.096771200006</v>
      </c>
      <c r="E36" s="25"/>
      <c r="F36" s="31">
        <f t="shared" si="2"/>
        <v>2.1000000000000005</v>
      </c>
      <c r="G36" s="26">
        <f t="shared" si="0"/>
        <v>236.6360132017061</v>
      </c>
    </row>
    <row r="37" spans="1:7" ht="12.75">
      <c r="A37" s="24">
        <f t="shared" si="1"/>
        <v>5.5</v>
      </c>
      <c r="B37" s="26">
        <f>(ZZZB-ZZZE)-(16*KKK1+KKK3)*A37^2</f>
        <v>478.7989620920615</v>
      </c>
      <c r="C37" s="31"/>
      <c r="D37" s="31"/>
      <c r="E37" s="25"/>
      <c r="F37" s="31">
        <f t="shared" si="2"/>
        <v>2.2000000000000006</v>
      </c>
      <c r="G37" s="26">
        <f t="shared" si="0"/>
        <v>237.4780734458634</v>
      </c>
    </row>
    <row r="38" spans="1:7" ht="12.75">
      <c r="A38" s="47">
        <v>5.9</v>
      </c>
      <c r="B38" s="48">
        <f>(ZZZB-ZZZE)-(16*KKK1+KKK3)*A38^2</f>
        <v>443.6453510884186</v>
      </c>
      <c r="C38" s="31"/>
      <c r="D38" s="31"/>
      <c r="E38" s="25"/>
      <c r="F38" s="31">
        <f t="shared" si="2"/>
        <v>2.3000000000000007</v>
      </c>
      <c r="G38" s="26">
        <f t="shared" si="0"/>
        <v>238.35929928277218</v>
      </c>
    </row>
    <row r="39" spans="1:7" ht="12.75">
      <c r="A39" s="24">
        <f t="shared" si="1"/>
        <v>6.15</v>
      </c>
      <c r="B39" s="26">
        <f>(ZZZB-ZZZE)-(16*KKK1+KKK3)*A39^2</f>
        <v>420.4216113628759</v>
      </c>
      <c r="C39" s="31"/>
      <c r="D39" s="31"/>
      <c r="E39" s="25"/>
      <c r="F39" s="31">
        <f t="shared" si="2"/>
        <v>2.400000000000001</v>
      </c>
      <c r="G39" s="26">
        <f t="shared" si="0"/>
        <v>239.27969071243245</v>
      </c>
    </row>
    <row r="40" spans="1:7" ht="12.75">
      <c r="A40" s="24">
        <f t="shared" si="1"/>
        <v>6.4</v>
      </c>
      <c r="B40" s="26">
        <f>(ZZZB-ZZZE)-(16*KKK1+KKK3)*A40^2</f>
        <v>396.2342309848211</v>
      </c>
      <c r="C40" s="31"/>
      <c r="D40" s="31"/>
      <c r="E40" s="25"/>
      <c r="F40" s="31">
        <f t="shared" si="2"/>
        <v>2.500000000000001</v>
      </c>
      <c r="G40" s="26">
        <f t="shared" si="0"/>
        <v>240.23924773484424</v>
      </c>
    </row>
    <row r="41" spans="1:7" ht="12.75">
      <c r="A41" s="24">
        <f t="shared" si="1"/>
        <v>6.65</v>
      </c>
      <c r="B41" s="26">
        <f>(ZZZB-ZZZE)-(16*KKK1+KKK3)*A41^2</f>
        <v>371.08320995425424</v>
      </c>
      <c r="C41" s="31"/>
      <c r="D41" s="31"/>
      <c r="E41" s="25"/>
      <c r="F41" s="31">
        <f t="shared" si="2"/>
        <v>2.600000000000001</v>
      </c>
      <c r="G41" s="26">
        <f t="shared" si="0"/>
        <v>241.23797035000754</v>
      </c>
    </row>
    <row r="42" spans="1:7" ht="12.75">
      <c r="A42" s="24">
        <f t="shared" si="1"/>
        <v>6.9</v>
      </c>
      <c r="B42" s="26">
        <f>(ZZZB-ZZZE)-(16*KKK1+KKK3)*A42^2</f>
        <v>344.96854827117517</v>
      </c>
      <c r="C42" s="31"/>
      <c r="D42" s="31"/>
      <c r="E42" s="25"/>
      <c r="F42" s="31">
        <f t="shared" si="2"/>
        <v>2.700000000000001</v>
      </c>
      <c r="G42" s="26">
        <f t="shared" si="0"/>
        <v>242.27585855792233</v>
      </c>
    </row>
    <row r="43" spans="1:7" ht="12.75">
      <c r="A43" s="24">
        <f t="shared" si="1"/>
        <v>7.15</v>
      </c>
      <c r="B43" s="26">
        <f>(ZZZB-ZZZE)-(16*KKK1+KKK3)*A43^2</f>
        <v>317.890245935584</v>
      </c>
      <c r="C43" s="31"/>
      <c r="D43" s="31"/>
      <c r="E43" s="25"/>
      <c r="F43" s="31">
        <f t="shared" si="2"/>
        <v>2.800000000000001</v>
      </c>
      <c r="G43" s="26">
        <f t="shared" si="0"/>
        <v>243.35291235858864</v>
      </c>
    </row>
    <row r="44" spans="1:7" ht="12.75">
      <c r="A44" s="24">
        <f t="shared" si="1"/>
        <v>7.4</v>
      </c>
      <c r="B44" s="26">
        <f>(ZZZB-ZZZE)-(16*KKK1+KKK3)*A44^2</f>
        <v>289.84830294748065</v>
      </c>
      <c r="C44" s="31"/>
      <c r="D44" s="31"/>
      <c r="E44" s="25"/>
      <c r="F44" s="31">
        <f t="shared" si="2"/>
        <v>2.9000000000000012</v>
      </c>
      <c r="G44" s="26">
        <f t="shared" si="0"/>
        <v>244.46913175200643</v>
      </c>
    </row>
    <row r="45" spans="1:7" ht="13.5" thickBot="1">
      <c r="A45" s="24">
        <f t="shared" si="1"/>
        <v>7.65</v>
      </c>
      <c r="B45" s="26">
        <f>(ZZZB-ZZZE)-(16*KKK1+KKK3)*A45^2</f>
        <v>260.84271930686515</v>
      </c>
      <c r="C45" s="31"/>
      <c r="D45" s="31"/>
      <c r="E45" s="25"/>
      <c r="F45" s="13">
        <f t="shared" si="2"/>
        <v>3.0000000000000013</v>
      </c>
      <c r="G45" s="27">
        <f t="shared" si="0"/>
        <v>245.6245167381757</v>
      </c>
    </row>
    <row r="46" spans="1:5" ht="12.75">
      <c r="A46" s="24">
        <f t="shared" si="1"/>
        <v>7.9</v>
      </c>
      <c r="B46" s="26">
        <f>(ZZZB-ZZZE)-(16*KKK1+KKK3)*A46^2</f>
        <v>230.8734950137375</v>
      </c>
      <c r="C46" s="31"/>
      <c r="D46" s="31"/>
      <c r="E46" s="25"/>
    </row>
    <row r="47" spans="1:5" ht="12.75">
      <c r="A47" s="24">
        <f t="shared" si="1"/>
        <v>8.15</v>
      </c>
      <c r="B47" s="26">
        <f>(ZZZB-ZZZE)-(16*KKK1+KKK3)*A47^2</f>
        <v>199.9406300680978</v>
      </c>
      <c r="C47" s="31"/>
      <c r="D47" s="31"/>
      <c r="E47" s="25"/>
    </row>
    <row r="48" spans="1:5" ht="12.75">
      <c r="A48" s="24">
        <f t="shared" si="1"/>
        <v>8.4</v>
      </c>
      <c r="B48" s="26">
        <f>(ZZZB-ZZZE)-(16*KKK1+KKK3)*A48^2</f>
        <v>168.0441244699458</v>
      </c>
      <c r="C48" s="31"/>
      <c r="D48" s="31"/>
      <c r="E48" s="25"/>
    </row>
    <row r="49" spans="1:5" ht="12.75">
      <c r="A49" s="24">
        <f t="shared" si="1"/>
        <v>8.65</v>
      </c>
      <c r="B49" s="26">
        <f>(ZZZB-ZZZE)-(16*KKK1+KKK3)*A49^2</f>
        <v>135.1839782192818</v>
      </c>
      <c r="C49" s="31"/>
      <c r="D49" s="31"/>
      <c r="E49" s="25"/>
    </row>
    <row r="50" spans="1:5" ht="12.75">
      <c r="A50" s="24">
        <f t="shared" si="1"/>
        <v>8.9</v>
      </c>
      <c r="B50" s="26">
        <f>(ZZZB-ZZZE)-(16*KKK1+KKK3)*A50^2</f>
        <v>101.36019131610556</v>
      </c>
      <c r="C50" s="31"/>
      <c r="D50" s="31"/>
      <c r="E50" s="25"/>
    </row>
    <row r="51" spans="1:5" ht="12.75">
      <c r="A51" s="24">
        <f>A50+0.25</f>
        <v>9.15</v>
      </c>
      <c r="B51" s="26">
        <f>(ZZZB-ZZZE)-(16*KKK1+KKK3)*A51^2</f>
        <v>66.57276376041716</v>
      </c>
      <c r="C51" s="31"/>
      <c r="D51" s="31"/>
      <c r="E51" s="25"/>
    </row>
    <row r="52" spans="1:5" ht="12.75">
      <c r="A52" s="24">
        <f t="shared" si="1"/>
        <v>9.4</v>
      </c>
      <c r="B52" s="26">
        <f>(ZZZB-ZZZE)-(16*KKK1+KKK3)*A52^2</f>
        <v>30.821695552216738</v>
      </c>
      <c r="C52" s="31"/>
      <c r="D52" s="31"/>
      <c r="E52" s="25"/>
    </row>
    <row r="53" spans="1:5" ht="13.5" thickBot="1">
      <c r="A53" s="12">
        <f>A52+0.25</f>
        <v>9.65</v>
      </c>
      <c r="B53" s="26">
        <f>(ZZZB-ZZZE)-(16*KKK1+KKK3)*A53^2</f>
        <v>-5.893013308495824</v>
      </c>
      <c r="C53" s="13"/>
      <c r="D53" s="13"/>
      <c r="E53" s="14"/>
    </row>
    <row r="54" ht="13.5" thickBot="1"/>
    <row r="55" spans="1:8" ht="20.25">
      <c r="A55" s="42" t="s">
        <v>63</v>
      </c>
      <c r="B55" s="10"/>
      <c r="C55" s="10"/>
      <c r="D55" s="10"/>
      <c r="E55" s="10"/>
      <c r="F55" s="10"/>
      <c r="G55" s="10"/>
      <c r="H55" s="11"/>
    </row>
    <row r="56" spans="1:8" ht="13.5" thickBot="1">
      <c r="A56" s="24"/>
      <c r="B56" s="31"/>
      <c r="C56" s="31"/>
      <c r="D56" s="31"/>
      <c r="E56" s="31"/>
      <c r="F56" s="31"/>
      <c r="G56" s="31"/>
      <c r="H56" s="25"/>
    </row>
    <row r="57" spans="1:8" ht="12.75">
      <c r="A57" s="9" t="s">
        <v>45</v>
      </c>
      <c r="B57" s="10" t="s">
        <v>46</v>
      </c>
      <c r="C57" s="10" t="s">
        <v>52</v>
      </c>
      <c r="D57" s="10" t="s">
        <v>47</v>
      </c>
      <c r="E57" s="10" t="s">
        <v>48</v>
      </c>
      <c r="F57" s="10" t="s">
        <v>49</v>
      </c>
      <c r="G57" s="10" t="s">
        <v>50</v>
      </c>
      <c r="H57" s="11" t="s">
        <v>51</v>
      </c>
    </row>
    <row r="58" spans="1:8" ht="13.5" thickBot="1">
      <c r="A58" s="12">
        <v>0.0008</v>
      </c>
      <c r="B58" s="13">
        <v>50</v>
      </c>
      <c r="C58" s="13">
        <v>20</v>
      </c>
      <c r="D58" s="16">
        <f>(qqq/CCCH/SQRT(III))^0.5</f>
        <v>0.9134473174738246</v>
      </c>
      <c r="E58" s="20">
        <f>(qqq^2/GGG)^(1/3)</f>
        <v>0.5216329328618818</v>
      </c>
      <c r="F58" s="20">
        <f>(HHHc/HHHn)^3</f>
        <v>0.18622779153390917</v>
      </c>
      <c r="G58" s="20">
        <f>SQRT(Fr2_)</f>
        <v>0.431541181735775</v>
      </c>
      <c r="H58" s="14">
        <f>QQQ1/BBB</f>
        <v>1.1800000000000002</v>
      </c>
    </row>
    <row r="59" spans="1:8" ht="12.75">
      <c r="A59" s="24"/>
      <c r="B59" s="31"/>
      <c r="C59" s="31"/>
      <c r="D59" s="31"/>
      <c r="E59" s="31"/>
      <c r="F59" s="31"/>
      <c r="G59" s="31"/>
      <c r="H59" s="25"/>
    </row>
    <row r="60" spans="1:8" ht="13.5" thickBot="1">
      <c r="A60" s="24"/>
      <c r="B60" s="31"/>
      <c r="C60" s="31"/>
      <c r="D60" s="31"/>
      <c r="E60" s="31"/>
      <c r="F60" s="31"/>
      <c r="G60" s="31"/>
      <c r="H60" s="25"/>
    </row>
    <row r="61" spans="1:8" ht="12.75">
      <c r="A61" s="9" t="s">
        <v>53</v>
      </c>
      <c r="B61" s="10" t="s">
        <v>54</v>
      </c>
      <c r="C61" s="10" t="s">
        <v>55</v>
      </c>
      <c r="D61" s="10" t="s">
        <v>56</v>
      </c>
      <c r="E61" s="10" t="s">
        <v>57</v>
      </c>
      <c r="F61" s="11" t="s">
        <v>62</v>
      </c>
      <c r="G61" s="31"/>
      <c r="H61" s="25"/>
    </row>
    <row r="62" spans="1:8" ht="13.5" thickBot="1">
      <c r="A62" s="12">
        <v>3</v>
      </c>
      <c r="B62" s="20">
        <f>HHH0/HHHn</f>
        <v>3.2842616564867924</v>
      </c>
      <c r="C62" s="41">
        <f>HHHn/III</f>
        <v>1141.8091468422806</v>
      </c>
      <c r="D62" s="16">
        <f>HHHc/HHHn</f>
        <v>0.5710596800530092</v>
      </c>
      <c r="E62" s="13">
        <v>5000</v>
      </c>
      <c r="F62" s="14">
        <v>0.568</v>
      </c>
      <c r="G62" s="31"/>
      <c r="H62" s="25"/>
    </row>
    <row r="63" spans="1:8" ht="12.75">
      <c r="A63" s="24"/>
      <c r="B63" s="31"/>
      <c r="C63" s="31"/>
      <c r="D63" s="31"/>
      <c r="E63" s="31"/>
      <c r="F63" s="31"/>
      <c r="G63" s="31"/>
      <c r="H63" s="25"/>
    </row>
    <row r="64" spans="1:8" ht="13.5" thickBot="1">
      <c r="A64" s="24"/>
      <c r="B64" s="31"/>
      <c r="C64" s="31"/>
      <c r="D64" s="31"/>
      <c r="E64" s="31"/>
      <c r="F64" s="31"/>
      <c r="G64" s="31"/>
      <c r="H64" s="25"/>
    </row>
    <row r="65" spans="1:8" ht="12.75">
      <c r="A65" s="9" t="s">
        <v>58</v>
      </c>
      <c r="B65" s="10" t="s">
        <v>59</v>
      </c>
      <c r="C65" s="10" t="s">
        <v>60</v>
      </c>
      <c r="D65" s="11" t="s">
        <v>61</v>
      </c>
      <c r="E65" s="31"/>
      <c r="F65" s="31"/>
      <c r="G65" s="31"/>
      <c r="H65" s="25"/>
    </row>
    <row r="66" spans="1:8" ht="12.75">
      <c r="A66" s="37">
        <f aca="true" t="shared" si="3" ref="A66:A72">xxx0+Hn_I*(C66-uuu0-(1-uuuC^3)*(D66-PHI_u0))</f>
        <v>5471.685153826507</v>
      </c>
      <c r="B66" s="31">
        <f>HHH0</f>
        <v>3</v>
      </c>
      <c r="C66" s="38">
        <f>uuu0</f>
        <v>3.2842616564867924</v>
      </c>
      <c r="D66" s="40">
        <f>0.09/0.25*(0.0674-0.0564)+0.0564</f>
        <v>0.06036</v>
      </c>
      <c r="E66" s="31"/>
      <c r="F66" s="31"/>
      <c r="G66" s="31"/>
      <c r="H66" s="25"/>
    </row>
    <row r="67" spans="1:8" ht="12.75">
      <c r="A67" s="37">
        <f t="shared" si="3"/>
        <v>4556.100726926998</v>
      </c>
      <c r="B67" s="36">
        <f aca="true" t="shared" si="4" ref="B67:B72">C67*HHHn</f>
        <v>2.2836182936845613</v>
      </c>
      <c r="C67" s="31">
        <v>2.5</v>
      </c>
      <c r="D67" s="25">
        <v>0.082</v>
      </c>
      <c r="E67" s="31"/>
      <c r="F67" s="31"/>
      <c r="G67" s="31"/>
      <c r="H67" s="25"/>
    </row>
    <row r="68" spans="1:8" ht="12.75">
      <c r="A68" s="37">
        <f t="shared" si="3"/>
        <v>3938.737525952226</v>
      </c>
      <c r="B68" s="36">
        <f t="shared" si="4"/>
        <v>1.8268946349476491</v>
      </c>
      <c r="C68" s="31">
        <v>2</v>
      </c>
      <c r="D68" s="25">
        <v>0.132</v>
      </c>
      <c r="E68" s="31"/>
      <c r="F68" s="31"/>
      <c r="G68" s="31"/>
      <c r="H68" s="25"/>
    </row>
    <row r="69" spans="1:8" ht="12.75">
      <c r="A69" s="37">
        <f t="shared" si="3"/>
        <v>3251.6863836470075</v>
      </c>
      <c r="B69" s="36">
        <f t="shared" si="4"/>
        <v>1.3701709762107368</v>
      </c>
      <c r="C69" s="31">
        <v>1.5</v>
      </c>
      <c r="D69" s="25">
        <v>0.257</v>
      </c>
      <c r="E69" s="31"/>
      <c r="F69" s="31"/>
      <c r="G69" s="31"/>
      <c r="H69" s="25"/>
    </row>
    <row r="70" spans="1:8" ht="12.75">
      <c r="A70" s="37">
        <f t="shared" si="3"/>
        <v>2814.7789711115997</v>
      </c>
      <c r="B70" s="36">
        <f t="shared" si="4"/>
        <v>1.1418091468422806</v>
      </c>
      <c r="C70" s="31">
        <v>1.25</v>
      </c>
      <c r="D70" s="25">
        <v>0.42</v>
      </c>
      <c r="E70" s="31"/>
      <c r="F70" s="31"/>
      <c r="G70" s="31"/>
      <c r="H70" s="25"/>
    </row>
    <row r="71" spans="1:8" ht="12.75">
      <c r="A71" s="37">
        <f t="shared" si="3"/>
        <v>2405.6394260106654</v>
      </c>
      <c r="B71" s="36">
        <f t="shared" si="4"/>
        <v>1.004792049221207</v>
      </c>
      <c r="C71" s="31">
        <v>1.1</v>
      </c>
      <c r="D71" s="25">
        <v>0.676</v>
      </c>
      <c r="E71" s="31"/>
      <c r="F71" s="31"/>
      <c r="G71" s="31"/>
      <c r="H71" s="25"/>
    </row>
    <row r="72" spans="1:8" ht="13.5" thickBot="1">
      <c r="A72" s="39">
        <f t="shared" si="3"/>
        <v>1831.124967705518</v>
      </c>
      <c r="B72" s="20">
        <f t="shared" si="4"/>
        <v>0.9317162638233011</v>
      </c>
      <c r="C72" s="13">
        <v>1.02</v>
      </c>
      <c r="D72" s="14">
        <v>1.196</v>
      </c>
      <c r="E72" s="13"/>
      <c r="F72" s="13"/>
      <c r="G72" s="13"/>
      <c r="H72" s="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</dc:creator>
  <cp:keywords/>
  <dc:description/>
  <cp:lastModifiedBy>suzanne</cp:lastModifiedBy>
  <cp:lastPrinted>2011-10-12T15:12:12Z</cp:lastPrinted>
  <dcterms:created xsi:type="dcterms:W3CDTF">2011-10-12T13:00:53Z</dcterms:created>
  <dcterms:modified xsi:type="dcterms:W3CDTF">2011-10-13T13:34:08Z</dcterms:modified>
  <cp:category/>
  <cp:version/>
  <cp:contentType/>
  <cp:contentStatus/>
</cp:coreProperties>
</file>